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HCI\SQT\Hellbender Edit\"/>
    </mc:Choice>
  </mc:AlternateContent>
  <xr:revisionPtr revIDLastSave="0" documentId="13_ncr:1_{539BF933-5642-4E49-9B37-E462C2872791}" xr6:coauthVersionLast="47" xr6:coauthVersionMax="47" xr10:uidLastSave="{00000000-0000-0000-0000-000000000000}"/>
  <bookViews>
    <workbookView xWindow="-108" yWindow="-108" windowWidth="23256" windowHeight="12576" xr2:uid="{C35072A8-D2CF-8A44-B23E-316615C1E31D}"/>
  </bookViews>
  <sheets>
    <sheet name="Substrate" sheetId="1" r:id="rId1"/>
  </sheets>
  <externalReferences>
    <externalReference r:id="rId2"/>
    <externalReference r:id="rId3"/>
    <externalReference r:id="rId4"/>
  </externalReferences>
  <definedNames>
    <definedName name="a">[1]v!#REF!</definedName>
    <definedName name="BA" localSheetId="0">[2]v!$A$7</definedName>
    <definedName name="BA">[1]v!$A$7</definedName>
    <definedName name="BH" localSheetId="0">[2]v!#REF!</definedName>
    <definedName name="BH">[1]v!#REF!</definedName>
    <definedName name="BS" localSheetId="0">[2]v!#REF!</definedName>
    <definedName name="BS">[1]v!#REF!</definedName>
    <definedName name="BW" localSheetId="0">[2]v!$A$6</definedName>
    <definedName name="BW">[1]v!$A$6</definedName>
    <definedName name="dbkf">'[3]MORPHOLOGY SUMMARY'!$M$27</definedName>
    <definedName name="FP" localSheetId="0">[2]v!$A$31</definedName>
    <definedName name="FP">[1]v!$A$31</definedName>
    <definedName name="LS" localSheetId="0">[2]v!$A$27</definedName>
    <definedName name="LS">[1]v!$A$27</definedName>
    <definedName name="NFP" localSheetId="0">[2]v!$A$35</definedName>
    <definedName name="NFP">[1]v!$A$35</definedName>
    <definedName name="PA" localSheetId="0">[2]v!#REF!</definedName>
    <definedName name="PA">[1]v!#REF!</definedName>
    <definedName name="PS" localSheetId="0">[2]v!#REF!</definedName>
    <definedName name="PS">[1]v!#REF!</definedName>
    <definedName name="RS" localSheetId="0">[2]v!#REF!</definedName>
    <definedName name="RS">[1]v!#REF!</definedName>
    <definedName name="SA" localSheetId="0">[2]v!$A$26</definedName>
    <definedName name="SA">[1]v!$A$26</definedName>
    <definedName name="SH" localSheetId="0">[2]v!$A$23</definedName>
    <definedName name="SH">[1]v!$A$23</definedName>
    <definedName name="SL" localSheetId="0">[2]v!$A$4</definedName>
    <definedName name="SL">[1]v!$A$4</definedName>
    <definedName name="SR" localSheetId="0">[2]v!#REF!</definedName>
    <definedName name="SR">[1]v!#REF!</definedName>
    <definedName name="SS" localSheetId="0">[2]v!$A$24</definedName>
    <definedName name="SS">[1]v!$A$24</definedName>
    <definedName name="STL" localSheetId="0">[2]v!$A$17</definedName>
    <definedName name="STL">[1]v!$A$17</definedName>
    <definedName name="STP" localSheetId="0">[2]v!$A$18</definedName>
    <definedName name="STP">[1]v!$A$18</definedName>
    <definedName name="STS" localSheetId="0">[2]v!$A$19</definedName>
    <definedName name="STS">[1]v!$A$19</definedName>
    <definedName name="SW" localSheetId="0">[2]v!$A$25</definedName>
    <definedName name="SW">[1]v!$A$25</definedName>
    <definedName name="TA" localSheetId="0">[2]v!$A$12</definedName>
    <definedName name="TA">[1]v!$A$12</definedName>
    <definedName name="TD" localSheetId="0">[2]v!$A$8</definedName>
    <definedName name="TD">[1]v!$A$8</definedName>
    <definedName name="TN" localSheetId="0">[2]v!$A$9</definedName>
    <definedName name="TN">[1]v!$A$9</definedName>
    <definedName name="TP" localSheetId="0">[2]v!$A$11</definedName>
    <definedName name="TP">[1]v!$A$11</definedName>
    <definedName name="TS" localSheetId="0">[2]v!$A$13</definedName>
    <definedName name="TS">[1]v!$A$13</definedName>
    <definedName name="TSP" localSheetId="0">[2]v!$A$10</definedName>
    <definedName name="TSP">[1]v!$A$10</definedName>
    <definedName name="VL" localSheetId="0">[2]v!$A$3</definedName>
    <definedName name="VL">[1]v!$A$3</definedName>
    <definedName name="WA" localSheetId="0">[2]v!$A$39</definedName>
    <definedName name="WA">[1]v!$A$39</definedName>
    <definedName name="WS" localSheetId="0">[2]v!$A$40</definedName>
    <definedName name="WS">[1]v!$A$40</definedName>
    <definedName name="x" localSheetId="0">[2]v!#REF!</definedName>
    <definedName name="x">[1]v!#REF!</definedName>
    <definedName name="xx" localSheetId="0">[2]v!#REF!</definedName>
    <definedName name="xx">[1]v!#REF!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G24" i="1"/>
  <c r="G27" i="1"/>
  <c r="G29" i="1"/>
  <c r="G30" i="1"/>
  <c r="G32" i="1"/>
  <c r="G34" i="1"/>
  <c r="G35" i="1"/>
  <c r="G36" i="1"/>
  <c r="E37" i="1"/>
  <c r="I37" i="1" s="1"/>
  <c r="D37" i="1"/>
  <c r="G37" i="1" s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G22" i="1" l="1"/>
  <c r="G20" i="1"/>
  <c r="G19" i="1"/>
  <c r="G18" i="1"/>
  <c r="G17" i="1"/>
  <c r="G16" i="1"/>
  <c r="G15" i="1"/>
  <c r="G14" i="1"/>
  <c r="G13" i="1"/>
  <c r="H13" i="1" s="1"/>
  <c r="I34" i="1"/>
  <c r="I26" i="1"/>
  <c r="I18" i="1"/>
  <c r="I32" i="1"/>
  <c r="I24" i="1"/>
  <c r="I16" i="1"/>
  <c r="I31" i="1"/>
  <c r="I23" i="1"/>
  <c r="I15" i="1"/>
  <c r="I30" i="1"/>
  <c r="I22" i="1"/>
  <c r="I14" i="1"/>
  <c r="I33" i="1"/>
  <c r="I13" i="1"/>
  <c r="I29" i="1"/>
  <c r="I21" i="1"/>
  <c r="I17" i="1"/>
  <c r="I36" i="1"/>
  <c r="I28" i="1"/>
  <c r="I20" i="1"/>
  <c r="I25" i="1"/>
  <c r="I35" i="1"/>
  <c r="I27" i="1"/>
  <c r="I19" i="1"/>
  <c r="G28" i="1"/>
  <c r="G33" i="1"/>
  <c r="G31" i="1"/>
  <c r="G23" i="1"/>
  <c r="G25" i="1"/>
  <c r="G21" i="1"/>
  <c r="G26" i="1"/>
  <c r="J13" i="1"/>
  <c r="F37" i="1"/>
  <c r="K21" i="1" s="1"/>
  <c r="H14" i="1" l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J14" i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K18" i="1"/>
  <c r="K26" i="1"/>
  <c r="K34" i="1"/>
  <c r="K19" i="1"/>
  <c r="K27" i="1"/>
  <c r="K35" i="1"/>
  <c r="K20" i="1"/>
  <c r="K28" i="1"/>
  <c r="K36" i="1"/>
  <c r="K29" i="1"/>
  <c r="K13" i="1"/>
  <c r="L13" i="1" s="1"/>
  <c r="K14" i="1"/>
  <c r="K22" i="1"/>
  <c r="K30" i="1"/>
  <c r="K15" i="1"/>
  <c r="K23" i="1"/>
  <c r="K31" i="1"/>
  <c r="K16" i="1"/>
  <c r="K24" i="1"/>
  <c r="K32" i="1"/>
  <c r="K17" i="1"/>
  <c r="K25" i="1"/>
  <c r="K33" i="1"/>
  <c r="L14" i="1" l="1"/>
  <c r="L15" i="1" s="1"/>
  <c r="L16" i="1" s="1"/>
  <c r="L17" i="1" s="1"/>
  <c r="L18" i="1" s="1"/>
  <c r="K37" i="1"/>
  <c r="L19" i="1" l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R12" i="1" l="1"/>
  <c r="C7" i="1" s="1"/>
  <c r="R13" i="1"/>
  <c r="C8" i="1" s="1"/>
  <c r="R11" i="1"/>
  <c r="C6" i="1" s="1"/>
  <c r="R10" i="1"/>
  <c r="C5" i="1" s="1"/>
  <c r="R8" i="1"/>
  <c r="C4" i="1" s="1"/>
</calcChain>
</file>

<file path=xl/sharedStrings.xml><?xml version="1.0" encoding="utf-8"?>
<sst xmlns="http://schemas.openxmlformats.org/spreadsheetml/2006/main" count="69" uniqueCount="62">
  <si>
    <t>Gradation</t>
  </si>
  <si>
    <t>Size</t>
  </si>
  <si>
    <r>
      <t>D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 xml:space="preserve"> (mm)</t>
    </r>
  </si>
  <si>
    <r>
      <t>D</t>
    </r>
    <r>
      <rPr>
        <vertAlign val="subscript"/>
        <sz val="11"/>
        <rFont val="Calibri"/>
        <family val="2"/>
        <scheme val="minor"/>
      </rPr>
      <t>35</t>
    </r>
    <r>
      <rPr>
        <sz val="11"/>
        <rFont val="Calibri"/>
        <family val="2"/>
        <scheme val="minor"/>
      </rPr>
      <t xml:space="preserve"> (mm)</t>
    </r>
  </si>
  <si>
    <r>
      <t>D</t>
    </r>
    <r>
      <rPr>
        <vertAlign val="subscript"/>
        <sz val="11"/>
        <rFont val="Calibri"/>
        <family val="2"/>
        <scheme val="minor"/>
      </rPr>
      <t>50</t>
    </r>
    <r>
      <rPr>
        <sz val="11"/>
        <rFont val="Calibri"/>
        <family val="2"/>
        <scheme val="minor"/>
      </rPr>
      <t xml:space="preserve"> (mm)</t>
    </r>
  </si>
  <si>
    <r>
      <t>D</t>
    </r>
    <r>
      <rPr>
        <vertAlign val="subscript"/>
        <sz val="11"/>
        <rFont val="Calibri"/>
        <family val="2"/>
        <scheme val="minor"/>
      </rPr>
      <t>84</t>
    </r>
    <r>
      <rPr>
        <sz val="11"/>
        <rFont val="Calibri"/>
        <family val="2"/>
        <scheme val="minor"/>
      </rPr>
      <t xml:space="preserve"> (mm)</t>
    </r>
  </si>
  <si>
    <r>
      <t>D</t>
    </r>
    <r>
      <rPr>
        <vertAlign val="subscript"/>
        <sz val="11"/>
        <rFont val="Calibri"/>
        <family val="2"/>
        <scheme val="minor"/>
      </rPr>
      <t>100</t>
    </r>
    <r>
      <rPr>
        <sz val="11"/>
        <rFont val="Calibri"/>
        <family val="2"/>
        <scheme val="minor"/>
      </rPr>
      <t xml:space="preserve"> (mm)</t>
    </r>
  </si>
  <si>
    <t xml:space="preserve">Reach-Wide Pebble Count                      </t>
  </si>
  <si>
    <t>Particle Size (mm)</t>
  </si>
  <si>
    <t>Description</t>
  </si>
  <si>
    <t>Riffles</t>
  </si>
  <si>
    <t xml:space="preserve">Pools </t>
  </si>
  <si>
    <t>Total</t>
  </si>
  <si>
    <t>Riffle Item %</t>
  </si>
  <si>
    <t>Riffle Cum. %</t>
  </si>
  <si>
    <t>Pool Item %</t>
  </si>
  <si>
    <t>Pool Cum. %</t>
  </si>
  <si>
    <t>Item %</t>
  </si>
  <si>
    <t>Cum. %</t>
  </si>
  <si>
    <t>&lt; .062</t>
  </si>
  <si>
    <t>Silt/Clay</t>
  </si>
  <si>
    <t>.062-.125</t>
  </si>
  <si>
    <t>Very Fine Sand</t>
  </si>
  <si>
    <t>.125-.25</t>
  </si>
  <si>
    <t>Fine Sand</t>
  </si>
  <si>
    <t>.25-.5</t>
  </si>
  <si>
    <t>Medium Sand</t>
  </si>
  <si>
    <t>.5-1.0</t>
  </si>
  <si>
    <t>Coarse Sand</t>
  </si>
  <si>
    <t>1.0-2</t>
  </si>
  <si>
    <t>Very Course Sand</t>
  </si>
  <si>
    <t>2-4</t>
  </si>
  <si>
    <t>Very Fine Gravel</t>
  </si>
  <si>
    <t>4-5.7</t>
  </si>
  <si>
    <t>Fine Gravel</t>
  </si>
  <si>
    <t>5.7-8</t>
  </si>
  <si>
    <t>8-11.3</t>
  </si>
  <si>
    <t>Medium Gravel</t>
  </si>
  <si>
    <t>11.3-16</t>
  </si>
  <si>
    <t>16-22.6</t>
  </si>
  <si>
    <t>Coarse Gravel</t>
  </si>
  <si>
    <t>22.6-32</t>
  </si>
  <si>
    <t>32-45</t>
  </si>
  <si>
    <t>Very Course Gravel</t>
  </si>
  <si>
    <t>45-64</t>
  </si>
  <si>
    <t>64-90</t>
  </si>
  <si>
    <t>Small Cobble</t>
  </si>
  <si>
    <t>90-128</t>
  </si>
  <si>
    <t>128-180</t>
  </si>
  <si>
    <t>Medium Cobble</t>
  </si>
  <si>
    <t>180-256</t>
  </si>
  <si>
    <t>Large Cobble</t>
  </si>
  <si>
    <t>256-362</t>
  </si>
  <si>
    <t>Small Boulders</t>
  </si>
  <si>
    <t>362-512</t>
  </si>
  <si>
    <t>512-1024</t>
  </si>
  <si>
    <t>Medium Boulders</t>
  </si>
  <si>
    <t>1024-2048</t>
  </si>
  <si>
    <t>Large Boulders</t>
  </si>
  <si>
    <t>&gt; 2048</t>
  </si>
  <si>
    <t>Bedrock</t>
  </si>
  <si>
    <t>Percent Fines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</si>
</sst>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7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vertAlign val="subscript"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1" applyFont="1"/>
    <xf numFmtId="164" fontId="3" fillId="0" borderId="2" xfId="2" applyNumberFormat="1" applyFont="1" applyBorder="1" applyAlignment="1">
      <alignment horizontal="center" vertical="center"/>
    </xf>
    <xf numFmtId="165" fontId="3" fillId="0" borderId="2" xfId="2" applyNumberFormat="1" applyFont="1" applyBorder="1" applyAlignment="1">
      <alignment horizontal="center" vertical="center"/>
    </xf>
    <xf numFmtId="164" fontId="3" fillId="0" borderId="3" xfId="2" applyNumberFormat="1" applyFont="1" applyBorder="1" applyAlignment="1">
      <alignment horizontal="center" vertical="center"/>
    </xf>
    <xf numFmtId="165" fontId="3" fillId="0" borderId="3" xfId="2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165" fontId="3" fillId="0" borderId="3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65" fontId="3" fillId="0" borderId="8" xfId="3" applyNumberFormat="1" applyFont="1" applyFill="1" applyBorder="1" applyAlignment="1">
      <alignment horizontal="center"/>
    </xf>
    <xf numFmtId="165" fontId="3" fillId="0" borderId="8" xfId="3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3" xfId="1" applyFont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0" borderId="2" xfId="1" applyFont="1" applyBorder="1" applyAlignment="1">
      <alignment horizontal="center"/>
    </xf>
    <xf numFmtId="165" fontId="3" fillId="0" borderId="3" xfId="3" applyNumberFormat="1" applyFont="1" applyFill="1" applyBorder="1" applyAlignment="1">
      <alignment horizontal="center"/>
    </xf>
    <xf numFmtId="165" fontId="3" fillId="0" borderId="2" xfId="3" applyNumberFormat="1" applyFont="1" applyFill="1" applyBorder="1" applyAlignment="1">
      <alignment horizontal="center"/>
    </xf>
    <xf numFmtId="165" fontId="3" fillId="0" borderId="3" xfId="3" applyNumberFormat="1" applyFont="1" applyBorder="1" applyAlignment="1">
      <alignment horizontal="center"/>
    </xf>
    <xf numFmtId="1" fontId="3" fillId="0" borderId="0" xfId="1" applyNumberFormat="1" applyFont="1" applyAlignment="1">
      <alignment horizontal="center"/>
    </xf>
    <xf numFmtId="2" fontId="3" fillId="0" borderId="3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0" borderId="9" xfId="1" applyFont="1" applyBorder="1" applyAlignment="1">
      <alignment horizontal="center"/>
    </xf>
    <xf numFmtId="16" fontId="3" fillId="0" borderId="8" xfId="1" quotePrefix="1" applyNumberFormat="1" applyFont="1" applyBorder="1" applyAlignment="1">
      <alignment horizontal="center"/>
    </xf>
    <xf numFmtId="0" fontId="3" fillId="0" borderId="3" xfId="1" quotePrefix="1" applyFont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0" borderId="2" xfId="1" applyFont="1" applyBorder="1"/>
    <xf numFmtId="165" fontId="3" fillId="0" borderId="2" xfId="3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164" fontId="3" fillId="0" borderId="0" xfId="2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9" fontId="3" fillId="0" borderId="3" xfId="4" applyFont="1" applyBorder="1" applyAlignment="1">
      <alignment horizontal="center" vertical="center"/>
    </xf>
  </cellXfs>
  <cellStyles count="5">
    <cellStyle name="Normal" xfId="0" builtinId="0"/>
    <cellStyle name="Normal 3" xfId="1" xr:uid="{105A40C5-7071-B240-B085-BEA576C8C0CA}"/>
    <cellStyle name="Normal_Cove Creek Design Reach Summary 3" xfId="2" xr:uid="{86614C1F-A29E-2440-A373-0FC51FBE5598}"/>
    <cellStyle name="Percent" xfId="4" builtinId="5"/>
    <cellStyle name="Percent 2" xfId="3" xr:uid="{C956ADED-F6B7-0B43-82CC-268AA70618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Reach-Wide Pebble Count Summary</a:t>
            </a:r>
          </a:p>
        </c:rich>
      </c:tx>
      <c:layout>
        <c:manualLayout>
          <c:xMode val="edge"/>
          <c:yMode val="edge"/>
          <c:x val="0.33633062260660002"/>
          <c:y val="3.0837004405286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437866168620695E-2"/>
          <c:y val="0.12775344136478001"/>
          <c:w val="0.80560442887237438"/>
          <c:h val="0.71147227401372326"/>
        </c:manualLayout>
      </c:layout>
      <c:barChart>
        <c:barDir val="col"/>
        <c:grouping val="clustered"/>
        <c:varyColors val="0"/>
        <c:ser>
          <c:idx val="1"/>
          <c:order val="0"/>
          <c:tx>
            <c:v>% Item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&lt; .062</c:v>
              </c:pt>
              <c:pt idx="1">
                <c:v>.062-.125</c:v>
              </c:pt>
              <c:pt idx="2">
                <c:v>.125-.25</c:v>
              </c:pt>
              <c:pt idx="3">
                <c:v>.25-.5</c:v>
              </c:pt>
              <c:pt idx="4">
                <c:v>.5-1.0</c:v>
              </c:pt>
              <c:pt idx="5">
                <c:v>1.0-2</c:v>
              </c:pt>
              <c:pt idx="6">
                <c:v>2-4</c:v>
              </c:pt>
              <c:pt idx="7">
                <c:v>4-5.7</c:v>
              </c:pt>
              <c:pt idx="8">
                <c:v>5.7-8</c:v>
              </c:pt>
              <c:pt idx="9">
                <c:v>8-11.3</c:v>
              </c:pt>
              <c:pt idx="10">
                <c:v>11.3-16</c:v>
              </c:pt>
              <c:pt idx="11">
                <c:v>16-22.6</c:v>
              </c:pt>
              <c:pt idx="12">
                <c:v>22.6-32</c:v>
              </c:pt>
              <c:pt idx="13">
                <c:v>32-45</c:v>
              </c:pt>
              <c:pt idx="14">
                <c:v>45-64</c:v>
              </c:pt>
              <c:pt idx="15">
                <c:v>64-90</c:v>
              </c:pt>
              <c:pt idx="16">
                <c:v>90-128</c:v>
              </c:pt>
              <c:pt idx="17">
                <c:v>128-180</c:v>
              </c:pt>
              <c:pt idx="18">
                <c:v>180-256</c:v>
              </c:pt>
              <c:pt idx="19">
                <c:v>256-362</c:v>
              </c:pt>
              <c:pt idx="20">
                <c:v>362-512</c:v>
              </c:pt>
              <c:pt idx="21">
                <c:v>512-1024</c:v>
              </c:pt>
              <c:pt idx="22">
                <c:v>1024-2048</c:v>
              </c:pt>
              <c:pt idx="23">
                <c:v>&gt; 2048</c:v>
              </c:pt>
            </c:strLit>
          </c:cat>
          <c:val>
            <c:numRef>
              <c:f>Substrate!$K$13:$K$36</c:f>
              <c:numCache>
                <c:formatCode>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C-144F-B072-7EA0FC5A6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7298640"/>
        <c:axId val="-207295520"/>
      </c:barChart>
      <c:lineChart>
        <c:grouping val="standard"/>
        <c:varyColors val="0"/>
        <c:ser>
          <c:idx val="6"/>
          <c:order val="1"/>
          <c:tx>
            <c:v>% Total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Substrate!$L$13:$L$36</c:f>
              <c:numCache>
                <c:formatCode>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4C-144F-B072-7EA0FC5A6B64}"/>
            </c:ext>
          </c:extLst>
        </c:ser>
        <c:ser>
          <c:idx val="0"/>
          <c:order val="2"/>
          <c:tx>
            <c:v>% Total Riffle</c:v>
          </c:tx>
          <c:spPr>
            <a:ln w="25400">
              <a:solidFill>
                <a:srgbClr val="7030A0"/>
              </a:solidFill>
            </a:ln>
          </c:spPr>
          <c:marker>
            <c:symbol val="circl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val>
            <c:numRef>
              <c:f>Substrate!$H$13:$H$36</c:f>
              <c:numCache>
                <c:formatCode>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4C-144F-B072-7EA0FC5A6B64}"/>
            </c:ext>
          </c:extLst>
        </c:ser>
        <c:ser>
          <c:idx val="2"/>
          <c:order val="3"/>
          <c:tx>
            <c:v>% Total Pool</c:v>
          </c:tx>
          <c:spPr>
            <a:ln w="25400"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val>
            <c:numRef>
              <c:f>Substrate!$J$13:$J$36</c:f>
              <c:numCache>
                <c:formatCode>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4C-144F-B072-7EA0FC5A6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292128"/>
        <c:axId val="-207289808"/>
      </c:lineChart>
      <c:catAx>
        <c:axId val="-20729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Particle Size Class (mm)</a:t>
                </a:r>
              </a:p>
            </c:rich>
          </c:tx>
          <c:layout>
            <c:manualLayout>
              <c:xMode val="edge"/>
              <c:yMode val="edge"/>
              <c:x val="0.41659760496637721"/>
              <c:y val="0.930887554429554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520000" vert="horz"/>
          <a:lstStyle/>
          <a:p>
            <a:pPr>
              <a:defRPr/>
            </a:pPr>
            <a:endParaRPr lang="en-US"/>
          </a:p>
        </c:txPr>
        <c:crossAx val="-207295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07295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Class Percent</a:t>
                </a:r>
              </a:p>
            </c:rich>
          </c:tx>
          <c:layout>
            <c:manualLayout>
              <c:xMode val="edge"/>
              <c:yMode val="edge"/>
              <c:x val="1.652212946023118E-2"/>
              <c:y val="0.383074626301291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207298640"/>
        <c:crosses val="autoZero"/>
        <c:crossBetween val="between"/>
      </c:valAx>
      <c:catAx>
        <c:axId val="-207292128"/>
        <c:scaling>
          <c:orientation val="minMax"/>
        </c:scaling>
        <c:delete val="1"/>
        <c:axPos val="b"/>
        <c:majorTickMark val="out"/>
        <c:minorTickMark val="none"/>
        <c:tickLblPos val="nextTo"/>
        <c:crossAx val="-207289808"/>
        <c:crosses val="autoZero"/>
        <c:auto val="0"/>
        <c:lblAlgn val="ctr"/>
        <c:lblOffset val="100"/>
        <c:noMultiLvlLbl val="0"/>
      </c:catAx>
      <c:valAx>
        <c:axId val="-207289808"/>
        <c:scaling>
          <c:orientation val="minMax"/>
          <c:max val="100"/>
        </c:scaling>
        <c:delete val="0"/>
        <c:axPos val="r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Cumulative Percent Finer</a:t>
                </a:r>
              </a:p>
            </c:rich>
          </c:tx>
          <c:layout>
            <c:manualLayout>
              <c:xMode val="edge"/>
              <c:yMode val="edge"/>
              <c:x val="0.96271360979973764"/>
              <c:y val="0.3270796307661877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2072921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951259606983587"/>
          <c:y val="0.15438868737874245"/>
          <c:w val="0.15548254913228005"/>
          <c:h val="0.1900401216367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Riffle Pebble Count Summary</a:t>
            </a:r>
          </a:p>
        </c:rich>
      </c:tx>
      <c:layout>
        <c:manualLayout>
          <c:xMode val="edge"/>
          <c:yMode val="edge"/>
          <c:x val="0.33633062260660002"/>
          <c:y val="3.0837004405286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777831049807301E-2"/>
          <c:y val="0.12775344136478001"/>
          <c:w val="0.81888522131454899"/>
          <c:h val="0.67914900505278297"/>
        </c:manualLayout>
      </c:layout>
      <c:barChart>
        <c:barDir val="col"/>
        <c:grouping val="clustered"/>
        <c:varyColors val="0"/>
        <c:ser>
          <c:idx val="1"/>
          <c:order val="0"/>
          <c:tx>
            <c:v>% Item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&lt; .062</c:v>
              </c:pt>
              <c:pt idx="1">
                <c:v>.062-.125</c:v>
              </c:pt>
              <c:pt idx="2">
                <c:v>.125-.25</c:v>
              </c:pt>
              <c:pt idx="3">
                <c:v>.25-.5</c:v>
              </c:pt>
              <c:pt idx="4">
                <c:v>.5-1.0</c:v>
              </c:pt>
              <c:pt idx="5">
                <c:v>1.0-2</c:v>
              </c:pt>
              <c:pt idx="6">
                <c:v>2-4</c:v>
              </c:pt>
              <c:pt idx="7">
                <c:v>4-5.7</c:v>
              </c:pt>
              <c:pt idx="8">
                <c:v>5.7-8</c:v>
              </c:pt>
              <c:pt idx="9">
                <c:v>8-11.3</c:v>
              </c:pt>
              <c:pt idx="10">
                <c:v>11.3-16</c:v>
              </c:pt>
              <c:pt idx="11">
                <c:v>16-22.6</c:v>
              </c:pt>
              <c:pt idx="12">
                <c:v>22.6-32</c:v>
              </c:pt>
              <c:pt idx="13">
                <c:v>32-45</c:v>
              </c:pt>
              <c:pt idx="14">
                <c:v>45-64</c:v>
              </c:pt>
              <c:pt idx="15">
                <c:v>64-90</c:v>
              </c:pt>
              <c:pt idx="16">
                <c:v>90-128</c:v>
              </c:pt>
              <c:pt idx="17">
                <c:v>128-180</c:v>
              </c:pt>
              <c:pt idx="18">
                <c:v>180-256</c:v>
              </c:pt>
              <c:pt idx="19">
                <c:v>256-362</c:v>
              </c:pt>
              <c:pt idx="20">
                <c:v>362-512</c:v>
              </c:pt>
              <c:pt idx="21">
                <c:v>512-1024</c:v>
              </c:pt>
              <c:pt idx="22">
                <c:v>1024-2048</c:v>
              </c:pt>
              <c:pt idx="23">
                <c:v>&gt; 2048</c:v>
              </c:pt>
            </c:strLit>
          </c:cat>
          <c:val>
            <c:numRef>
              <c:f>Substrate!$G$13:$G$36</c:f>
              <c:numCache>
                <c:formatCode>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5-C349-BA07-EEACBC8AF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7337600"/>
        <c:axId val="-207333472"/>
      </c:barChart>
      <c:lineChart>
        <c:grouping val="standard"/>
        <c:varyColors val="0"/>
        <c:ser>
          <c:idx val="0"/>
          <c:order val="2"/>
          <c:tx>
            <c:v>% Total Riffle</c:v>
          </c:tx>
          <c:spPr>
            <a:ln w="25400">
              <a:solidFill>
                <a:srgbClr val="7030A0"/>
              </a:solidFill>
            </a:ln>
          </c:spPr>
          <c:marker>
            <c:symbol val="circl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val>
            <c:numRef>
              <c:f>Substrate!$H$13:$H$36</c:f>
              <c:numCache>
                <c:formatCode>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65-C349-BA07-EEACBC8AF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330080"/>
        <c:axId val="-207421808"/>
        <c:extLst>
          <c:ext xmlns:c15="http://schemas.microsoft.com/office/drawing/2012/chart" uri="{02D57815-91ED-43cb-92C2-25804820EDAC}">
            <c15:filteredLineSeries>
              <c15:ser>
                <c:idx val="6"/>
                <c:order val="1"/>
                <c:tx>
                  <c:v>% Total</c:v>
                </c:tx>
                <c:spPr>
                  <a:ln w="25400">
                    <a:solidFill>
                      <a:schemeClr val="tx1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chemeClr val="tx1"/>
                    </a:solidFill>
                    <a:ln>
                      <a:solidFill>
                        <a:schemeClr val="tx1"/>
                      </a:solidFill>
                      <a:prstDash val="solid"/>
                    </a:ln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Substrate!$L$13:$L$36</c15:sqref>
                        </c15:formulaRef>
                      </c:ext>
                    </c:extLst>
                    <c:numCache>
                      <c:formatCode>0.0</c:formatCode>
                      <c:ptCount val="2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565-C349-BA07-EEACBC8AFD19}"/>
                  </c:ext>
                </c:extLst>
              </c15:ser>
            </c15:filteredLineSeries>
            <c15:filteredLineSeries>
              <c15:ser>
                <c:idx val="2"/>
                <c:order val="3"/>
                <c:tx>
                  <c:v>% Total Pool</c:v>
                </c:tx>
                <c:spPr>
                  <a:ln w="25400">
                    <a:solidFill>
                      <a:srgbClr val="C00000"/>
                    </a:solidFill>
                  </a:ln>
                </c:spPr>
                <c:marker>
                  <c:symbol val="circle"/>
                  <c:size val="7"/>
                  <c:spPr>
                    <a:solidFill>
                      <a:srgbClr val="C00000"/>
                    </a:solidFill>
                    <a:ln>
                      <a:solidFill>
                        <a:srgbClr val="C00000"/>
                      </a:solidFill>
                    </a:ln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Substrate!$J$13:$J$36</c15:sqref>
                        </c15:formulaRef>
                      </c:ext>
                    </c:extLst>
                    <c:numCache>
                      <c:formatCode>0.0</c:formatCode>
                      <c:ptCount val="2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565-C349-BA07-EEACBC8AFD19}"/>
                  </c:ext>
                </c:extLst>
              </c15:ser>
            </c15:filteredLineSeries>
          </c:ext>
        </c:extLst>
      </c:lineChart>
      <c:catAx>
        <c:axId val="-20733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Particle Size Class (mm)</a:t>
                </a:r>
              </a:p>
            </c:rich>
          </c:tx>
          <c:layout>
            <c:manualLayout>
              <c:xMode val="edge"/>
              <c:yMode val="edge"/>
              <c:x val="0.41659758530183699"/>
              <c:y val="0.917034698856476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5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7333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07333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Class Percent</a:t>
                </a:r>
              </a:p>
            </c:rich>
          </c:tx>
          <c:layout>
            <c:manualLayout>
              <c:xMode val="edge"/>
              <c:yMode val="edge"/>
              <c:x val="3.3123053901208503E-2"/>
              <c:y val="0.3392074132788979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7337600"/>
        <c:crosses val="autoZero"/>
        <c:crossBetween val="between"/>
      </c:valAx>
      <c:catAx>
        <c:axId val="-207330080"/>
        <c:scaling>
          <c:orientation val="minMax"/>
        </c:scaling>
        <c:delete val="1"/>
        <c:axPos val="b"/>
        <c:majorTickMark val="out"/>
        <c:minorTickMark val="none"/>
        <c:tickLblPos val="nextTo"/>
        <c:crossAx val="-207421808"/>
        <c:crosses val="autoZero"/>
        <c:auto val="0"/>
        <c:lblAlgn val="ctr"/>
        <c:lblOffset val="100"/>
        <c:noMultiLvlLbl val="0"/>
      </c:catAx>
      <c:valAx>
        <c:axId val="-207421808"/>
        <c:scaling>
          <c:orientation val="minMax"/>
          <c:max val="10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Cumulative Percent Finer</a:t>
                </a:r>
              </a:p>
            </c:rich>
          </c:tx>
          <c:layout>
            <c:manualLayout>
              <c:xMode val="edge"/>
              <c:yMode val="edge"/>
              <c:x val="0.96271359580052496"/>
              <c:y val="0.2555068391781419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73300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935485564304495"/>
          <c:y val="0.16593268352469201"/>
          <c:w val="0.13224117477118599"/>
          <c:h val="0.1900401216367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Pool Pebble Count Summary</a:t>
            </a:r>
          </a:p>
        </c:rich>
      </c:tx>
      <c:layout>
        <c:manualLayout>
          <c:xMode val="edge"/>
          <c:yMode val="edge"/>
          <c:x val="0.33633062260660002"/>
          <c:y val="3.0837004405286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777831049807301E-2"/>
          <c:y val="0.12775344136478001"/>
          <c:w val="0.81888522131454899"/>
          <c:h val="0.67914900505278297"/>
        </c:manualLayout>
      </c:layout>
      <c:barChart>
        <c:barDir val="col"/>
        <c:grouping val="clustered"/>
        <c:varyColors val="0"/>
        <c:ser>
          <c:idx val="1"/>
          <c:order val="0"/>
          <c:tx>
            <c:v>% Item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&lt; .062</c:v>
              </c:pt>
              <c:pt idx="1">
                <c:v>.062-.125</c:v>
              </c:pt>
              <c:pt idx="2">
                <c:v>.125-.25</c:v>
              </c:pt>
              <c:pt idx="3">
                <c:v>.25-.5</c:v>
              </c:pt>
              <c:pt idx="4">
                <c:v>.5-1.0</c:v>
              </c:pt>
              <c:pt idx="5">
                <c:v>1.0-2</c:v>
              </c:pt>
              <c:pt idx="6">
                <c:v>2-4</c:v>
              </c:pt>
              <c:pt idx="7">
                <c:v>4-5.7</c:v>
              </c:pt>
              <c:pt idx="8">
                <c:v>5.7-8</c:v>
              </c:pt>
              <c:pt idx="9">
                <c:v>8-11.3</c:v>
              </c:pt>
              <c:pt idx="10">
                <c:v>11.3-16</c:v>
              </c:pt>
              <c:pt idx="11">
                <c:v>16-22.6</c:v>
              </c:pt>
              <c:pt idx="12">
                <c:v>22.6-32</c:v>
              </c:pt>
              <c:pt idx="13">
                <c:v>32-45</c:v>
              </c:pt>
              <c:pt idx="14">
                <c:v>45-64</c:v>
              </c:pt>
              <c:pt idx="15">
                <c:v>64-90</c:v>
              </c:pt>
              <c:pt idx="16">
                <c:v>90-128</c:v>
              </c:pt>
              <c:pt idx="17">
                <c:v>128-180</c:v>
              </c:pt>
              <c:pt idx="18">
                <c:v>180-256</c:v>
              </c:pt>
              <c:pt idx="19">
                <c:v>256-362</c:v>
              </c:pt>
              <c:pt idx="20">
                <c:v>362-512</c:v>
              </c:pt>
              <c:pt idx="21">
                <c:v>512-1024</c:v>
              </c:pt>
              <c:pt idx="22">
                <c:v>1024-2048</c:v>
              </c:pt>
              <c:pt idx="23">
                <c:v>&gt; 2048</c:v>
              </c:pt>
            </c:strLit>
          </c:cat>
          <c:val>
            <c:numRef>
              <c:f>Substrate!$I$13:$I$36</c:f>
              <c:numCache>
                <c:formatCode>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6-C64D-B2E5-8408501B8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7386000"/>
        <c:axId val="-207382880"/>
      </c:barChart>
      <c:lineChart>
        <c:grouping val="standard"/>
        <c:varyColors val="0"/>
        <c:ser>
          <c:idx val="2"/>
          <c:order val="3"/>
          <c:tx>
            <c:v>% Total Pool</c:v>
          </c:tx>
          <c:spPr>
            <a:ln w="25400"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val>
            <c:numRef>
              <c:f>Substrate!$J$13:$J$36</c:f>
              <c:numCache>
                <c:formatCode>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6-C64D-B2E5-8408501B8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379488"/>
        <c:axId val="-207377168"/>
        <c:extLst>
          <c:ext xmlns:c15="http://schemas.microsoft.com/office/drawing/2012/chart" uri="{02D57815-91ED-43cb-92C2-25804820EDAC}">
            <c15:filteredLineSeries>
              <c15:ser>
                <c:idx val="6"/>
                <c:order val="1"/>
                <c:tx>
                  <c:v>% Total</c:v>
                </c:tx>
                <c:spPr>
                  <a:ln w="25400">
                    <a:solidFill>
                      <a:schemeClr val="tx1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chemeClr val="tx1"/>
                    </a:solidFill>
                    <a:ln>
                      <a:solidFill>
                        <a:schemeClr val="tx1"/>
                      </a:solidFill>
                      <a:prstDash val="solid"/>
                    </a:ln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Substrate!$L$13:$L$36</c15:sqref>
                        </c15:formulaRef>
                      </c:ext>
                    </c:extLst>
                    <c:numCache>
                      <c:formatCode>0.0</c:formatCode>
                      <c:ptCount val="2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2B36-C64D-B2E5-8408501B8662}"/>
                  </c:ext>
                </c:extLst>
              </c15:ser>
            </c15:filteredLineSeries>
            <c15:filteredLineSeries>
              <c15:ser>
                <c:idx val="0"/>
                <c:order val="2"/>
                <c:tx>
                  <c:v>% Total Riffle</c:v>
                </c:tx>
                <c:spPr>
                  <a:ln w="25400">
                    <a:solidFill>
                      <a:srgbClr val="7030A0"/>
                    </a:solidFill>
                  </a:ln>
                </c:spPr>
                <c:marker>
                  <c:symbol val="circle"/>
                  <c:size val="7"/>
                  <c:spPr>
                    <a:solidFill>
                      <a:srgbClr val="7030A0"/>
                    </a:solidFill>
                    <a:ln>
                      <a:solidFill>
                        <a:srgbClr val="7030A0"/>
                      </a:solidFill>
                    </a:ln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Substrate!$H$13:$H$36</c15:sqref>
                        </c15:formulaRef>
                      </c:ext>
                    </c:extLst>
                    <c:numCache>
                      <c:formatCode>0.0</c:formatCode>
                      <c:ptCount val="2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B36-C64D-B2E5-8408501B8662}"/>
                  </c:ext>
                </c:extLst>
              </c15:ser>
            </c15:filteredLineSeries>
          </c:ext>
        </c:extLst>
      </c:lineChart>
      <c:catAx>
        <c:axId val="-20738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Particle Size Class (mm)</a:t>
                </a:r>
              </a:p>
            </c:rich>
          </c:tx>
          <c:layout>
            <c:manualLayout>
              <c:xMode val="edge"/>
              <c:yMode val="edge"/>
              <c:x val="0.41659758530183699"/>
              <c:y val="0.917034698856476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5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738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07382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Class Percent</a:t>
                </a:r>
              </a:p>
            </c:rich>
          </c:tx>
          <c:layout>
            <c:manualLayout>
              <c:xMode val="edge"/>
              <c:yMode val="edge"/>
              <c:x val="3.3123053901208503E-2"/>
              <c:y val="0.3392074132788979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7386000"/>
        <c:crosses val="autoZero"/>
        <c:crossBetween val="between"/>
      </c:valAx>
      <c:catAx>
        <c:axId val="-207379488"/>
        <c:scaling>
          <c:orientation val="minMax"/>
        </c:scaling>
        <c:delete val="1"/>
        <c:axPos val="b"/>
        <c:majorTickMark val="out"/>
        <c:minorTickMark val="none"/>
        <c:tickLblPos val="nextTo"/>
        <c:crossAx val="-207377168"/>
        <c:crosses val="autoZero"/>
        <c:auto val="0"/>
        <c:lblAlgn val="ctr"/>
        <c:lblOffset val="100"/>
        <c:noMultiLvlLbl val="0"/>
      </c:catAx>
      <c:valAx>
        <c:axId val="-207377168"/>
        <c:scaling>
          <c:orientation val="minMax"/>
          <c:max val="10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Cumulative Percent Finer</a:t>
                </a:r>
              </a:p>
            </c:rich>
          </c:tx>
          <c:layout>
            <c:manualLayout>
              <c:xMode val="edge"/>
              <c:yMode val="edge"/>
              <c:x val="0.96271359580052496"/>
              <c:y val="0.2555068391781419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73794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935485564304495"/>
          <c:y val="0.16593268352469201"/>
          <c:w val="0.13224117477118599"/>
          <c:h val="0.1900401216367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80961</xdr:colOff>
      <xdr:row>10</xdr:row>
      <xdr:rowOff>7938</xdr:rowOff>
    </xdr:from>
    <xdr:to>
      <xdr:col>24</xdr:col>
      <xdr:colOff>381000</xdr:colOff>
      <xdr:row>36</xdr:row>
      <xdr:rowOff>182563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99C9A8-5FC2-4347-A6FC-DA605456F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177800</xdr:colOff>
      <xdr:row>55</xdr:row>
      <xdr:rowOff>88900</xdr:rowOff>
    </xdr:from>
    <xdr:to>
      <xdr:col>11</xdr:col>
      <xdr:colOff>600075</xdr:colOff>
      <xdr:row>82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156D7BE-7BDA-F446-9384-67C50FA97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184150</xdr:colOff>
      <xdr:row>82</xdr:row>
      <xdr:rowOff>95250</xdr:rowOff>
    </xdr:from>
    <xdr:to>
      <xdr:col>11</xdr:col>
      <xdr:colOff>606425</xdr:colOff>
      <xdr:row>109</xdr:row>
      <xdr:rowOff>25400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912D717A-A5F7-9548-A0D9-DEC468509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/Documents%20and%20Settings/Gr/My%20Documents/GJ%20Bus/AL%20Volkert/StreamData%20T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r/My%20Documents/GJ%20Bus/AL%20Volkert/StreamData%20T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egjennings/Desktop/43%20RI/4316%20WNCSI-2020%20Henderson%20FBPLLC,%20Boylston%20Cr/RC_201_Design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"/>
      <sheetName val="Design"/>
      <sheetName val="Mannings n"/>
      <sheetName val="Long Prof"/>
      <sheetName val="XSEC"/>
      <sheetName val="Pebble Ct"/>
      <sheetName val="Entrainment"/>
    </sheetNames>
    <sheetDataSet>
      <sheetData sheetId="0">
        <row r="3">
          <cell r="A3">
            <v>1000</v>
          </cell>
        </row>
        <row r="4">
          <cell r="A4">
            <v>1250</v>
          </cell>
        </row>
        <row r="6">
          <cell r="A6">
            <v>200</v>
          </cell>
        </row>
        <row r="7">
          <cell r="A7">
            <v>4.5913682277318637</v>
          </cell>
        </row>
        <row r="8">
          <cell r="A8">
            <v>400</v>
          </cell>
        </row>
        <row r="9">
          <cell r="A9">
            <v>1836.5472910927456</v>
          </cell>
        </row>
        <row r="10">
          <cell r="A10">
            <v>80</v>
          </cell>
        </row>
        <row r="11">
          <cell r="A11">
            <v>2295.684113865932</v>
          </cell>
        </row>
        <row r="12">
          <cell r="A12">
            <v>87.11999999999999</v>
          </cell>
        </row>
        <row r="13">
          <cell r="A13">
            <v>10.033845225037108</v>
          </cell>
        </row>
        <row r="17">
          <cell r="A17">
            <v>2500</v>
          </cell>
        </row>
        <row r="18">
          <cell r="A18">
            <v>30</v>
          </cell>
        </row>
        <row r="19">
          <cell r="A19">
            <v>2</v>
          </cell>
        </row>
        <row r="23">
          <cell r="A23">
            <v>1</v>
          </cell>
        </row>
        <row r="24">
          <cell r="A24">
            <v>3</v>
          </cell>
        </row>
        <row r="25">
          <cell r="A25">
            <v>3</v>
          </cell>
        </row>
        <row r="26">
          <cell r="A26">
            <v>7500</v>
          </cell>
        </row>
        <row r="27">
          <cell r="A27">
            <v>2</v>
          </cell>
        </row>
        <row r="31">
          <cell r="A31">
            <v>25</v>
          </cell>
        </row>
        <row r="35">
          <cell r="A35">
            <v>75</v>
          </cell>
        </row>
        <row r="39">
          <cell r="A39">
            <v>1000</v>
          </cell>
        </row>
        <row r="40">
          <cell r="A40">
            <v>1.5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"/>
      <sheetName val="Design"/>
      <sheetName val="Mannings n"/>
      <sheetName val="Long Prof"/>
      <sheetName val="XSEC"/>
      <sheetName val="Pebble Ct"/>
      <sheetName val="Entrainment"/>
    </sheetNames>
    <sheetDataSet>
      <sheetData sheetId="0">
        <row r="3">
          <cell r="A3">
            <v>1000</v>
          </cell>
        </row>
        <row r="4">
          <cell r="A4">
            <v>1250</v>
          </cell>
        </row>
        <row r="6">
          <cell r="A6">
            <v>200</v>
          </cell>
        </row>
        <row r="7">
          <cell r="A7">
            <v>4.5913682277318637</v>
          </cell>
        </row>
        <row r="8">
          <cell r="A8">
            <v>400</v>
          </cell>
        </row>
        <row r="9">
          <cell r="A9">
            <v>1836.5472910927456</v>
          </cell>
        </row>
        <row r="10">
          <cell r="A10">
            <v>80</v>
          </cell>
        </row>
        <row r="11">
          <cell r="A11">
            <v>2295.684113865932</v>
          </cell>
        </row>
        <row r="12">
          <cell r="A12">
            <v>87.11999999999999</v>
          </cell>
        </row>
        <row r="13">
          <cell r="A13">
            <v>10.033845225037108</v>
          </cell>
        </row>
        <row r="17">
          <cell r="A17">
            <v>2500</v>
          </cell>
        </row>
        <row r="18">
          <cell r="A18">
            <v>30</v>
          </cell>
        </row>
        <row r="19">
          <cell r="A19">
            <v>2</v>
          </cell>
        </row>
        <row r="23">
          <cell r="A23">
            <v>1</v>
          </cell>
        </row>
        <row r="24">
          <cell r="A24">
            <v>3</v>
          </cell>
        </row>
        <row r="25">
          <cell r="A25">
            <v>3</v>
          </cell>
        </row>
        <row r="26">
          <cell r="A26">
            <v>7500</v>
          </cell>
        </row>
        <row r="27">
          <cell r="A27">
            <v>2</v>
          </cell>
        </row>
        <row r="31">
          <cell r="A31">
            <v>25</v>
          </cell>
        </row>
        <row r="35">
          <cell r="A35">
            <v>75</v>
          </cell>
        </row>
        <row r="39">
          <cell r="A39">
            <v>1000</v>
          </cell>
        </row>
        <row r="40">
          <cell r="A40">
            <v>1.5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RPHOLOGY SUMMA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A1FBC-92D0-A645-B9BD-3C67F2E98E61}">
  <dimension ref="B2:R38"/>
  <sheetViews>
    <sheetView tabSelected="1" zoomScale="90" zoomScaleNormal="90" zoomScalePageLayoutView="130" workbookViewId="0">
      <selection activeCell="C4" sqref="C4"/>
    </sheetView>
  </sheetViews>
  <sheetFormatPr defaultColWidth="8.796875" defaultRowHeight="14.4" x14ac:dyDescent="0.3"/>
  <cols>
    <col min="1" max="1" width="3.19921875" style="1" customWidth="1"/>
    <col min="2" max="2" width="12.19921875" style="1" customWidth="1"/>
    <col min="3" max="3" width="18" style="1" customWidth="1"/>
    <col min="4" max="4" width="7.5" style="1" customWidth="1"/>
    <col min="5" max="5" width="7.19921875" style="1" customWidth="1"/>
    <col min="6" max="6" width="6.69921875" style="1" customWidth="1"/>
    <col min="7" max="7" width="7.5" style="1" customWidth="1"/>
    <col min="8" max="8" width="8.19921875" style="1" customWidth="1"/>
    <col min="9" max="9" width="8.5" style="1" customWidth="1"/>
    <col min="10" max="10" width="8.296875" style="1" customWidth="1"/>
    <col min="11" max="11" width="7.69921875" style="1" customWidth="1"/>
    <col min="12" max="12" width="8.796875" style="1" customWidth="1"/>
    <col min="13" max="13" width="15" style="1" customWidth="1"/>
    <col min="14" max="14" width="9.19921875" style="1" hidden="1" customWidth="1"/>
    <col min="15" max="15" width="23.5" style="1" customWidth="1"/>
    <col min="16" max="16" width="10.19921875" style="1" customWidth="1"/>
    <col min="17" max="17" width="8.796875" style="1"/>
    <col min="18" max="18" width="0" style="1" hidden="1" customWidth="1"/>
    <col min="19" max="16384" width="8.796875" style="1"/>
  </cols>
  <sheetData>
    <row r="2" spans="2:18" ht="19.5" customHeight="1" x14ac:dyDescent="0.3">
      <c r="B2" s="41" t="s">
        <v>0</v>
      </c>
      <c r="C2" s="41" t="s">
        <v>1</v>
      </c>
    </row>
    <row r="3" spans="2:18" ht="19.5" customHeight="1" x14ac:dyDescent="0.3">
      <c r="B3" s="6" t="s">
        <v>61</v>
      </c>
      <c r="C3" s="42" t="str">
        <f>IFERROR(L18/100,"")</f>
        <v/>
      </c>
    </row>
    <row r="4" spans="2:18" ht="15.6" x14ac:dyDescent="0.3">
      <c r="B4" s="2" t="s">
        <v>2</v>
      </c>
      <c r="C4" s="3" t="str">
        <f>IF(L13&gt;=16,"silt/clay",(IF(($R$8&gt;2048),"bedrock",(LOOKUP(16,$L$13:$L$35,$N$14:$N$36)+(16-LOOKUP(16,$L$13:$L$35,$L$13:$L$35))*(LOOKUP(16,$L$13:$L$35,$N$14:$N$36)-LOOKUP(16,$L$13:$L$35,$N$15:$N$37))/(LOOKUP(16,$L$13:$L$35,$L$13:$L$35)-LOOKUP(16,$L$13:$L$35,$L$14:$L$36))))))</f>
        <v>silt/clay</v>
      </c>
    </row>
    <row r="5" spans="2:18" ht="15.6" x14ac:dyDescent="0.3">
      <c r="B5" s="4" t="s">
        <v>3</v>
      </c>
      <c r="C5" s="5" t="str">
        <f>IF(L13&gt;=35,"silt/clay",(IF(($R$10&gt;2048),"bedrock",(LOOKUP(35,$L$13:$L$35,$N$14:$N$36)+(35-LOOKUP(35,$L$13:$L$35,$L$13:$L$35))*(LOOKUP(35,$L$13:$L$35,$N$14:$N$36)-LOOKUP(35,$L$13:$L$35,$N$15:$N$37))/(LOOKUP(35,$L$13:$L$35,$L$13:$L$35)-LOOKUP(35,$L$13:$L$35,$L$14:$L$36))))))</f>
        <v>silt/clay</v>
      </c>
    </row>
    <row r="6" spans="2:18" ht="15.6" x14ac:dyDescent="0.3">
      <c r="B6" s="4" t="s">
        <v>4</v>
      </c>
      <c r="C6" s="5" t="str">
        <f>IF(L13&gt;=50,"silt/clay",(IF(($R$11&gt;2048),"bedrock",(LOOKUP(50,$L$13:$L$35,$N$14:$N$36)+(50-LOOKUP(50,$L$13:$L$35,$L$13:$L$35))*(LOOKUP(50,$L$13:$L$35,$N$14:$N$36)-LOOKUP(50,$L$13:$L$35,$N$15:$N$37))/(LOOKUP(50,$L$13:$L$35,$L$13:$L$35)-LOOKUP(50,$L$13:$L$35,$L$14:$L$36))))))</f>
        <v>silt/clay</v>
      </c>
    </row>
    <row r="7" spans="2:18" ht="15.6" x14ac:dyDescent="0.3">
      <c r="B7" s="6" t="s">
        <v>5</v>
      </c>
      <c r="C7" s="7" t="str">
        <f>IF(L13&gt;=84,"silt/clay",(IF(($R$12&gt;2048),"bedrock",(LOOKUP(84,$L$13:$L$35,$N$14:$N$36)+(84-LOOKUP(84,$L$13:$L$35,$L$13:$L$35))*(LOOKUP(84,$L$13:$L$35,$N$14:$N$36)-LOOKUP(84,$L$13:$L$35,$N$15:$N$37))/(LOOKUP(84,$L$13:$L$35,$L$13:$L$35)-LOOKUP(84,$L$13:$L$35,$L$14:$L$36))))))</f>
        <v>silt/clay</v>
      </c>
      <c r="M7" s="8"/>
    </row>
    <row r="8" spans="2:18" ht="15.6" x14ac:dyDescent="0.3">
      <c r="B8" s="4" t="s">
        <v>6</v>
      </c>
      <c r="C8" s="7" t="str">
        <f>IF(L13&gt;=100,"silt/clay",(IF(($R$13&gt;2048),"bedrock",(((LOOKUP(99.999999,$L$13:$L$35,$N$14:$N$36)+(99.999999-LOOKUP(99.999999,$L$13:$L$35,$L$13:$L$35))*(LOOKUP(99.999999,$L$13:$L$35,$N$14:$N$36)-LOOKUP(99.999999,$L$13:$L$35,$N$15:$N$37))/(LOOKUP(99.999999,$L$13:$L$35,$L$13:$L$35)-LOOKUP(99.999999,$L$13:$L$35,$L$14:$L$36))))))))</f>
        <v>silt/clay</v>
      </c>
      <c r="M8" s="8"/>
      <c r="R8" s="3" t="e">
        <f>LOOKUP(16,$L$13:$L$35,$N$14:$N$36)+(16-LOOKUP(16,$L$13:$L$35,$L$13:$L$35))*(LOOKUP(16,$L$13:$L$35,$N$14:$N$36)-LOOKUP(16,$L$13:$L$35,$N$15:$N$37))/(LOOKUP(16,$L$13:$L$35,$L$13:$L$35)-LOOKUP(16,$L$13:$L$35,$L$14:$L$36))</f>
        <v>#N/A</v>
      </c>
    </row>
    <row r="9" spans="2:18" x14ac:dyDescent="0.3">
      <c r="B9" s="39"/>
      <c r="C9" s="40"/>
      <c r="M9" s="8"/>
      <c r="R9" s="3"/>
    </row>
    <row r="10" spans="2:18" ht="14.25" customHeight="1" x14ac:dyDescent="0.3">
      <c r="M10" s="8"/>
      <c r="R10" s="5" t="e">
        <f>LOOKUP(35,$L$13:$L$35,$N$14:$N$36)+(35-LOOKUP(35,$L$13:$L$35,$L$13:$L$35))*(LOOKUP(35,$L$13:$L$35,$N$14:$N$36)-LOOKUP(35,$L$13:$L$35,$N$15:$N$37))/(LOOKUP(35,$L$13:$L$35,$L$13:$L$35)-LOOKUP(35,$L$13:$L$35,$L$14:$L$36))</f>
        <v>#N/A</v>
      </c>
    </row>
    <row r="11" spans="2:18" ht="16.5" customHeight="1" thickBot="1" x14ac:dyDescent="0.35">
      <c r="B11" s="36" t="s">
        <v>7</v>
      </c>
      <c r="C11" s="37"/>
      <c r="D11" s="37"/>
      <c r="E11" s="37"/>
      <c r="F11" s="37"/>
      <c r="G11" s="37"/>
      <c r="H11" s="37"/>
      <c r="I11" s="37"/>
      <c r="J11" s="37"/>
      <c r="K11" s="37"/>
      <c r="L11" s="38"/>
      <c r="M11" s="8"/>
      <c r="R11" s="5" t="e">
        <f>LOOKUP(50,$L$13:$L$35,$N$14:$N$36)+(50-LOOKUP(50,$L$13:$L$35,$L$13:$L$35))*(LOOKUP(50,$L$13:$L$35,$N$14:$N$36)-LOOKUP(50,$L$13:$L$35,$N$15:$N$37))/(LOOKUP(50,$L$13:$L$35,$L$13:$L$35)-LOOKUP(50,$L$13:$L$35,$L$14:$L$36))</f>
        <v>#N/A</v>
      </c>
    </row>
    <row r="12" spans="2:18" ht="36.75" customHeight="1" thickTop="1" thickBot="1" x14ac:dyDescent="0.35">
      <c r="B12" s="9" t="s">
        <v>8</v>
      </c>
      <c r="C12" s="9" t="s">
        <v>9</v>
      </c>
      <c r="D12" s="9" t="s">
        <v>10</v>
      </c>
      <c r="E12" s="9" t="s">
        <v>11</v>
      </c>
      <c r="F12" s="9" t="s">
        <v>12</v>
      </c>
      <c r="G12" s="9" t="s">
        <v>13</v>
      </c>
      <c r="H12" s="9" t="s">
        <v>14</v>
      </c>
      <c r="I12" s="9" t="s">
        <v>15</v>
      </c>
      <c r="J12" s="9" t="s">
        <v>16</v>
      </c>
      <c r="K12" s="9" t="s">
        <v>17</v>
      </c>
      <c r="L12" s="9" t="s">
        <v>18</v>
      </c>
      <c r="M12" s="8"/>
      <c r="R12" s="7" t="e">
        <f>LOOKUP(84,$L$13:$L$35,$N$14:$N$36)+(84-LOOKUP(84,$L$13:$L$35,$L$13:$L$35))*(LOOKUP(84,$L$13:$L$35,$N$14:$N$36)-LOOKUP(84,$L$13:$L$35,$N$15:$N$37))/(LOOKUP(84,$L$13:$L$35,$L$13:$L$35)-LOOKUP(84,$L$13:$L$35,$L$14:$L$36))</f>
        <v>#N/A</v>
      </c>
    </row>
    <row r="13" spans="2:18" ht="15.6" thickTop="1" thickBot="1" x14ac:dyDescent="0.35">
      <c r="B13" s="10" t="s">
        <v>19</v>
      </c>
      <c r="C13" s="10" t="s">
        <v>20</v>
      </c>
      <c r="D13" s="11"/>
      <c r="E13" s="11"/>
      <c r="F13" s="10">
        <f t="shared" ref="F13:F36" si="0">D13+E13</f>
        <v>0</v>
      </c>
      <c r="G13" s="12" t="str">
        <f>IF(D13="","",(D13/$D$37)*100)</f>
        <v/>
      </c>
      <c r="H13" s="12" t="str">
        <f>G13</f>
        <v/>
      </c>
      <c r="I13" s="12" t="str">
        <f>IFERROR((E13/$E$37)*100,"")</f>
        <v/>
      </c>
      <c r="J13" s="12" t="str">
        <f>I13</f>
        <v/>
      </c>
      <c r="K13" s="13" t="str">
        <f>IFERROR(+F13/F$37*100,"")</f>
        <v/>
      </c>
      <c r="L13" s="13" t="str">
        <f>+K13</f>
        <v/>
      </c>
      <c r="M13" s="14"/>
      <c r="R13" s="7" t="e">
        <f>(LOOKUP(99.999999,$L$13:$L$35,$N$14:$N$36)+(99.999999-LOOKUP(99.999999,$L$13:$L$35,$L$13:$L$35))*(LOOKUP(99.999999,$L$13:$L$35,$N$14:$N$36)-LOOKUP(99.999999,$L$13:$L$35,$N$15:$N$37))/(LOOKUP(99.999999,$L$13:$L$35,$L$13:$L$35)-LOOKUP(99.999999,$L$13:$L$35,$L$14:$L$36)))</f>
        <v>#N/A</v>
      </c>
    </row>
    <row r="14" spans="2:18" ht="15.6" thickTop="1" thickBot="1" x14ac:dyDescent="0.35">
      <c r="B14" s="15" t="s">
        <v>21</v>
      </c>
      <c r="C14" s="15" t="s">
        <v>22</v>
      </c>
      <c r="D14" s="16"/>
      <c r="E14" s="16"/>
      <c r="F14" s="17">
        <f t="shared" si="0"/>
        <v>0</v>
      </c>
      <c r="G14" s="12" t="str">
        <f t="shared" ref="G14:G36" si="1">IF(D14="","",(D14/$D$37)*100)</f>
        <v/>
      </c>
      <c r="H14" s="18" t="str">
        <f>IFERROR(G14+H13,"")</f>
        <v/>
      </c>
      <c r="I14" s="12" t="str">
        <f t="shared" ref="I14:I36" si="2">IFERROR((E14/$E$37)*100,"")</f>
        <v/>
      </c>
      <c r="J14" s="19" t="str">
        <f>IFERROR(I14+J13,"")</f>
        <v/>
      </c>
      <c r="K14" s="13" t="str">
        <f t="shared" ref="K14:K36" si="3">IFERROR(+F14/F$37*100,"")</f>
        <v/>
      </c>
      <c r="L14" s="20" t="str">
        <f>IFERROR(+L13+K14,"")</f>
        <v/>
      </c>
      <c r="M14" s="21"/>
      <c r="N14" s="6">
        <v>6.2E-2</v>
      </c>
    </row>
    <row r="15" spans="2:18" ht="15.6" thickTop="1" thickBot="1" x14ac:dyDescent="0.35">
      <c r="B15" s="15" t="s">
        <v>23</v>
      </c>
      <c r="C15" s="15" t="s">
        <v>24</v>
      </c>
      <c r="D15" s="16"/>
      <c r="E15" s="16"/>
      <c r="F15" s="17">
        <f t="shared" si="0"/>
        <v>0</v>
      </c>
      <c r="G15" s="12" t="str">
        <f t="shared" si="1"/>
        <v/>
      </c>
      <c r="H15" s="18" t="str">
        <f t="shared" ref="H15:H36" si="4">IFERROR(G15+H14,"")</f>
        <v/>
      </c>
      <c r="I15" s="12" t="str">
        <f t="shared" si="2"/>
        <v/>
      </c>
      <c r="J15" s="19" t="str">
        <f t="shared" ref="J15:J36" si="5">IFERROR(I15+J14,"")</f>
        <v/>
      </c>
      <c r="K15" s="13" t="str">
        <f t="shared" si="3"/>
        <v/>
      </c>
      <c r="L15" s="20" t="str">
        <f t="shared" ref="L15:L36" si="6">IFERROR(+L14+K15,"")</f>
        <v/>
      </c>
      <c r="M15" s="21"/>
      <c r="N15" s="6">
        <v>0.125</v>
      </c>
    </row>
    <row r="16" spans="2:18" ht="15.6" thickTop="1" thickBot="1" x14ac:dyDescent="0.35">
      <c r="B16" s="15" t="s">
        <v>25</v>
      </c>
      <c r="C16" s="15" t="s">
        <v>26</v>
      </c>
      <c r="D16" s="16"/>
      <c r="E16" s="16"/>
      <c r="F16" s="17">
        <f t="shared" si="0"/>
        <v>0</v>
      </c>
      <c r="G16" s="12" t="str">
        <f t="shared" si="1"/>
        <v/>
      </c>
      <c r="H16" s="18" t="str">
        <f t="shared" si="4"/>
        <v/>
      </c>
      <c r="I16" s="12" t="str">
        <f t="shared" si="2"/>
        <v/>
      </c>
      <c r="J16" s="19" t="str">
        <f t="shared" si="5"/>
        <v/>
      </c>
      <c r="K16" s="13" t="str">
        <f t="shared" si="3"/>
        <v/>
      </c>
      <c r="L16" s="20" t="str">
        <f t="shared" si="6"/>
        <v/>
      </c>
      <c r="M16" s="21"/>
      <c r="N16" s="6">
        <v>0.25</v>
      </c>
    </row>
    <row r="17" spans="2:14" ht="15.6" thickTop="1" thickBot="1" x14ac:dyDescent="0.35">
      <c r="B17" s="15" t="s">
        <v>27</v>
      </c>
      <c r="C17" s="15" t="s">
        <v>28</v>
      </c>
      <c r="D17" s="16"/>
      <c r="E17" s="16"/>
      <c r="F17" s="17">
        <f t="shared" si="0"/>
        <v>0</v>
      </c>
      <c r="G17" s="12" t="str">
        <f t="shared" si="1"/>
        <v/>
      </c>
      <c r="H17" s="18" t="str">
        <f t="shared" si="4"/>
        <v/>
      </c>
      <c r="I17" s="12" t="str">
        <f t="shared" si="2"/>
        <v/>
      </c>
      <c r="J17" s="19" t="str">
        <f t="shared" si="5"/>
        <v/>
      </c>
      <c r="K17" s="13" t="str">
        <f t="shared" si="3"/>
        <v/>
      </c>
      <c r="L17" s="20" t="str">
        <f t="shared" si="6"/>
        <v/>
      </c>
      <c r="M17" s="21"/>
      <c r="N17" s="22">
        <v>0.5</v>
      </c>
    </row>
    <row r="18" spans="2:14" ht="15.6" thickTop="1" thickBot="1" x14ac:dyDescent="0.35">
      <c r="B18" s="23" t="s">
        <v>29</v>
      </c>
      <c r="C18" s="23" t="s">
        <v>30</v>
      </c>
      <c r="D18" s="24"/>
      <c r="E18" s="24"/>
      <c r="F18" s="25">
        <f t="shared" si="0"/>
        <v>0</v>
      </c>
      <c r="G18" s="12" t="str">
        <f t="shared" si="1"/>
        <v/>
      </c>
      <c r="H18" s="18" t="str">
        <f t="shared" si="4"/>
        <v/>
      </c>
      <c r="I18" s="12" t="str">
        <f t="shared" si="2"/>
        <v/>
      </c>
      <c r="J18" s="19" t="str">
        <f t="shared" si="5"/>
        <v/>
      </c>
      <c r="K18" s="13" t="str">
        <f t="shared" si="3"/>
        <v/>
      </c>
      <c r="L18" s="20" t="str">
        <f t="shared" si="6"/>
        <v/>
      </c>
      <c r="M18" s="21"/>
      <c r="N18" s="7">
        <v>1</v>
      </c>
    </row>
    <row r="19" spans="2:14" ht="15.6" thickTop="1" thickBot="1" x14ac:dyDescent="0.35">
      <c r="B19" s="26" t="s">
        <v>31</v>
      </c>
      <c r="C19" s="10" t="s">
        <v>32</v>
      </c>
      <c r="D19" s="11"/>
      <c r="E19" s="11"/>
      <c r="F19" s="10">
        <f t="shared" si="0"/>
        <v>0</v>
      </c>
      <c r="G19" s="12" t="str">
        <f t="shared" si="1"/>
        <v/>
      </c>
      <c r="H19" s="18" t="str">
        <f t="shared" si="4"/>
        <v/>
      </c>
      <c r="I19" s="12" t="str">
        <f t="shared" si="2"/>
        <v/>
      </c>
      <c r="J19" s="19" t="str">
        <f t="shared" si="5"/>
        <v/>
      </c>
      <c r="K19" s="13" t="str">
        <f t="shared" si="3"/>
        <v/>
      </c>
      <c r="L19" s="20" t="str">
        <f t="shared" si="6"/>
        <v/>
      </c>
      <c r="M19" s="21"/>
      <c r="N19" s="7">
        <v>2</v>
      </c>
    </row>
    <row r="20" spans="2:14" ht="15.6" thickTop="1" thickBot="1" x14ac:dyDescent="0.35">
      <c r="B20" s="27" t="s">
        <v>33</v>
      </c>
      <c r="C20" s="15" t="s">
        <v>34</v>
      </c>
      <c r="D20" s="16"/>
      <c r="E20" s="16"/>
      <c r="F20" s="17">
        <f t="shared" si="0"/>
        <v>0</v>
      </c>
      <c r="G20" s="12" t="str">
        <f t="shared" si="1"/>
        <v/>
      </c>
      <c r="H20" s="18" t="str">
        <f t="shared" si="4"/>
        <v/>
      </c>
      <c r="I20" s="12" t="str">
        <f t="shared" si="2"/>
        <v/>
      </c>
      <c r="J20" s="19" t="str">
        <f t="shared" si="5"/>
        <v/>
      </c>
      <c r="K20" s="13" t="str">
        <f t="shared" si="3"/>
        <v/>
      </c>
      <c r="L20" s="20" t="str">
        <f t="shared" si="6"/>
        <v/>
      </c>
      <c r="M20" s="21"/>
      <c r="N20" s="7">
        <v>4</v>
      </c>
    </row>
    <row r="21" spans="2:14" ht="15.6" thickTop="1" thickBot="1" x14ac:dyDescent="0.35">
      <c r="B21" s="27" t="s">
        <v>35</v>
      </c>
      <c r="C21" s="15" t="s">
        <v>34</v>
      </c>
      <c r="D21" s="16"/>
      <c r="E21" s="16"/>
      <c r="F21" s="17">
        <f t="shared" si="0"/>
        <v>0</v>
      </c>
      <c r="G21" s="12" t="str">
        <f t="shared" si="1"/>
        <v/>
      </c>
      <c r="H21" s="18" t="str">
        <f t="shared" si="4"/>
        <v/>
      </c>
      <c r="I21" s="12" t="str">
        <f t="shared" si="2"/>
        <v/>
      </c>
      <c r="J21" s="19" t="str">
        <f t="shared" si="5"/>
        <v/>
      </c>
      <c r="K21" s="13" t="str">
        <f t="shared" si="3"/>
        <v/>
      </c>
      <c r="L21" s="20" t="str">
        <f t="shared" si="6"/>
        <v/>
      </c>
      <c r="M21" s="21"/>
      <c r="N21" s="7">
        <v>5.7</v>
      </c>
    </row>
    <row r="22" spans="2:14" ht="15.6" thickTop="1" thickBot="1" x14ac:dyDescent="0.35">
      <c r="B22" s="27" t="s">
        <v>36</v>
      </c>
      <c r="C22" s="15" t="s">
        <v>37</v>
      </c>
      <c r="D22" s="16"/>
      <c r="E22" s="16"/>
      <c r="F22" s="17">
        <f t="shared" si="0"/>
        <v>0</v>
      </c>
      <c r="G22" s="12" t="str">
        <f t="shared" si="1"/>
        <v/>
      </c>
      <c r="H22" s="18" t="str">
        <f t="shared" si="4"/>
        <v/>
      </c>
      <c r="I22" s="12" t="str">
        <f t="shared" si="2"/>
        <v/>
      </c>
      <c r="J22" s="19" t="str">
        <f t="shared" si="5"/>
        <v/>
      </c>
      <c r="K22" s="13" t="str">
        <f t="shared" si="3"/>
        <v/>
      </c>
      <c r="L22" s="20" t="str">
        <f t="shared" si="6"/>
        <v/>
      </c>
      <c r="M22" s="21"/>
      <c r="N22" s="7">
        <v>8</v>
      </c>
    </row>
    <row r="23" spans="2:14" ht="15.6" thickTop="1" thickBot="1" x14ac:dyDescent="0.35">
      <c r="B23" s="27" t="s">
        <v>38</v>
      </c>
      <c r="C23" s="15" t="s">
        <v>37</v>
      </c>
      <c r="D23" s="16"/>
      <c r="E23" s="16"/>
      <c r="F23" s="17">
        <f t="shared" si="0"/>
        <v>0</v>
      </c>
      <c r="G23" s="12" t="str">
        <f t="shared" si="1"/>
        <v/>
      </c>
      <c r="H23" s="18" t="str">
        <f t="shared" si="4"/>
        <v/>
      </c>
      <c r="I23" s="12" t="str">
        <f t="shared" si="2"/>
        <v/>
      </c>
      <c r="J23" s="19" t="str">
        <f t="shared" si="5"/>
        <v/>
      </c>
      <c r="K23" s="13" t="str">
        <f t="shared" si="3"/>
        <v/>
      </c>
      <c r="L23" s="20" t="str">
        <f t="shared" si="6"/>
        <v/>
      </c>
      <c r="M23" s="21"/>
      <c r="N23" s="7">
        <v>11.3</v>
      </c>
    </row>
    <row r="24" spans="2:14" ht="15.6" thickTop="1" thickBot="1" x14ac:dyDescent="0.35">
      <c r="B24" s="27" t="s">
        <v>39</v>
      </c>
      <c r="C24" s="15" t="s">
        <v>40</v>
      </c>
      <c r="D24" s="16"/>
      <c r="E24" s="16"/>
      <c r="F24" s="17">
        <f t="shared" si="0"/>
        <v>0</v>
      </c>
      <c r="G24" s="12" t="str">
        <f t="shared" si="1"/>
        <v/>
      </c>
      <c r="H24" s="18" t="str">
        <f t="shared" si="4"/>
        <v/>
      </c>
      <c r="I24" s="12" t="str">
        <f t="shared" si="2"/>
        <v/>
      </c>
      <c r="J24" s="19" t="str">
        <f t="shared" si="5"/>
        <v/>
      </c>
      <c r="K24" s="13" t="str">
        <f t="shared" si="3"/>
        <v/>
      </c>
      <c r="L24" s="20" t="str">
        <f t="shared" si="6"/>
        <v/>
      </c>
      <c r="M24" s="21"/>
      <c r="N24" s="7">
        <v>16</v>
      </c>
    </row>
    <row r="25" spans="2:14" ht="15.6" thickTop="1" thickBot="1" x14ac:dyDescent="0.35">
      <c r="B25" s="27" t="s">
        <v>41</v>
      </c>
      <c r="C25" s="15" t="s">
        <v>40</v>
      </c>
      <c r="D25" s="16"/>
      <c r="E25" s="16"/>
      <c r="F25" s="17">
        <f t="shared" si="0"/>
        <v>0</v>
      </c>
      <c r="G25" s="12" t="str">
        <f t="shared" si="1"/>
        <v/>
      </c>
      <c r="H25" s="18" t="str">
        <f t="shared" si="4"/>
        <v/>
      </c>
      <c r="I25" s="12" t="str">
        <f t="shared" si="2"/>
        <v/>
      </c>
      <c r="J25" s="19" t="str">
        <f t="shared" si="5"/>
        <v/>
      </c>
      <c r="K25" s="13" t="str">
        <f t="shared" si="3"/>
        <v/>
      </c>
      <c r="L25" s="20" t="str">
        <f t="shared" si="6"/>
        <v/>
      </c>
      <c r="M25" s="21"/>
      <c r="N25" s="7">
        <v>22.6</v>
      </c>
    </row>
    <row r="26" spans="2:14" ht="15.6" thickTop="1" thickBot="1" x14ac:dyDescent="0.35">
      <c r="B26" s="27" t="s">
        <v>42</v>
      </c>
      <c r="C26" s="15" t="s">
        <v>43</v>
      </c>
      <c r="D26" s="16"/>
      <c r="E26" s="16"/>
      <c r="F26" s="17">
        <f t="shared" si="0"/>
        <v>0</v>
      </c>
      <c r="G26" s="12" t="str">
        <f t="shared" si="1"/>
        <v/>
      </c>
      <c r="H26" s="18" t="str">
        <f t="shared" si="4"/>
        <v/>
      </c>
      <c r="I26" s="12" t="str">
        <f t="shared" si="2"/>
        <v/>
      </c>
      <c r="J26" s="19" t="str">
        <f t="shared" si="5"/>
        <v/>
      </c>
      <c r="K26" s="13" t="str">
        <f t="shared" si="3"/>
        <v/>
      </c>
      <c r="L26" s="20" t="str">
        <f t="shared" si="6"/>
        <v/>
      </c>
      <c r="M26" s="21"/>
      <c r="N26" s="6">
        <v>32</v>
      </c>
    </row>
    <row r="27" spans="2:14" ht="15.6" thickTop="1" thickBot="1" x14ac:dyDescent="0.35">
      <c r="B27" s="23" t="s">
        <v>44</v>
      </c>
      <c r="C27" s="23" t="s">
        <v>43</v>
      </c>
      <c r="D27" s="24"/>
      <c r="E27" s="24"/>
      <c r="F27" s="25">
        <f t="shared" si="0"/>
        <v>0</v>
      </c>
      <c r="G27" s="12" t="str">
        <f t="shared" si="1"/>
        <v/>
      </c>
      <c r="H27" s="18" t="str">
        <f t="shared" si="4"/>
        <v/>
      </c>
      <c r="I27" s="12" t="str">
        <f t="shared" si="2"/>
        <v/>
      </c>
      <c r="J27" s="19" t="str">
        <f t="shared" si="5"/>
        <v/>
      </c>
      <c r="K27" s="13" t="str">
        <f t="shared" si="3"/>
        <v/>
      </c>
      <c r="L27" s="20" t="str">
        <f t="shared" si="6"/>
        <v/>
      </c>
      <c r="M27" s="21"/>
      <c r="N27" s="6">
        <v>45</v>
      </c>
    </row>
    <row r="28" spans="2:14" ht="15.6" thickTop="1" thickBot="1" x14ac:dyDescent="0.35">
      <c r="B28" s="17" t="s">
        <v>45</v>
      </c>
      <c r="C28" s="17" t="s">
        <v>46</v>
      </c>
      <c r="D28" s="28"/>
      <c r="E28" s="28"/>
      <c r="F28" s="17">
        <f t="shared" si="0"/>
        <v>0</v>
      </c>
      <c r="G28" s="12" t="str">
        <f t="shared" si="1"/>
        <v/>
      </c>
      <c r="H28" s="18" t="str">
        <f t="shared" si="4"/>
        <v/>
      </c>
      <c r="I28" s="12" t="str">
        <f t="shared" si="2"/>
        <v/>
      </c>
      <c r="J28" s="19" t="str">
        <f t="shared" si="5"/>
        <v/>
      </c>
      <c r="K28" s="13" t="str">
        <f t="shared" si="3"/>
        <v/>
      </c>
      <c r="L28" s="20" t="str">
        <f t="shared" si="6"/>
        <v/>
      </c>
      <c r="M28" s="21"/>
      <c r="N28" s="6">
        <v>64</v>
      </c>
    </row>
    <row r="29" spans="2:14" ht="15.6" thickTop="1" thickBot="1" x14ac:dyDescent="0.35">
      <c r="B29" s="15" t="s">
        <v>47</v>
      </c>
      <c r="C29" s="15" t="s">
        <v>46</v>
      </c>
      <c r="D29" s="16"/>
      <c r="E29" s="16"/>
      <c r="F29" s="17">
        <f t="shared" si="0"/>
        <v>0</v>
      </c>
      <c r="G29" s="12" t="str">
        <f t="shared" si="1"/>
        <v/>
      </c>
      <c r="H29" s="18" t="str">
        <f t="shared" si="4"/>
        <v/>
      </c>
      <c r="I29" s="12" t="str">
        <f t="shared" si="2"/>
        <v/>
      </c>
      <c r="J29" s="19" t="str">
        <f t="shared" si="5"/>
        <v/>
      </c>
      <c r="K29" s="13" t="str">
        <f t="shared" si="3"/>
        <v/>
      </c>
      <c r="L29" s="20" t="str">
        <f t="shared" si="6"/>
        <v/>
      </c>
      <c r="M29" s="21"/>
      <c r="N29" s="6">
        <v>90</v>
      </c>
    </row>
    <row r="30" spans="2:14" ht="15.6" thickTop="1" thickBot="1" x14ac:dyDescent="0.35">
      <c r="B30" s="15" t="s">
        <v>48</v>
      </c>
      <c r="C30" s="15" t="s">
        <v>49</v>
      </c>
      <c r="D30" s="16"/>
      <c r="E30" s="16"/>
      <c r="F30" s="17">
        <f t="shared" si="0"/>
        <v>0</v>
      </c>
      <c r="G30" s="12" t="str">
        <f t="shared" si="1"/>
        <v/>
      </c>
      <c r="H30" s="18" t="str">
        <f t="shared" si="4"/>
        <v/>
      </c>
      <c r="I30" s="12" t="str">
        <f t="shared" si="2"/>
        <v/>
      </c>
      <c r="J30" s="19" t="str">
        <f t="shared" si="5"/>
        <v/>
      </c>
      <c r="K30" s="13" t="str">
        <f t="shared" si="3"/>
        <v/>
      </c>
      <c r="L30" s="20" t="str">
        <f t="shared" si="6"/>
        <v/>
      </c>
      <c r="M30" s="21"/>
      <c r="N30" s="6">
        <v>128</v>
      </c>
    </row>
    <row r="31" spans="2:14" ht="15.6" thickTop="1" thickBot="1" x14ac:dyDescent="0.35">
      <c r="B31" s="23" t="s">
        <v>50</v>
      </c>
      <c r="C31" s="23" t="s">
        <v>51</v>
      </c>
      <c r="D31" s="24"/>
      <c r="E31" s="24"/>
      <c r="F31" s="23">
        <f t="shared" si="0"/>
        <v>0</v>
      </c>
      <c r="G31" s="12" t="str">
        <f t="shared" si="1"/>
        <v/>
      </c>
      <c r="H31" s="18" t="str">
        <f t="shared" si="4"/>
        <v/>
      </c>
      <c r="I31" s="12" t="str">
        <f t="shared" si="2"/>
        <v/>
      </c>
      <c r="J31" s="19" t="str">
        <f t="shared" si="5"/>
        <v/>
      </c>
      <c r="K31" s="13" t="str">
        <f t="shared" si="3"/>
        <v/>
      </c>
      <c r="L31" s="20" t="str">
        <f t="shared" si="6"/>
        <v/>
      </c>
      <c r="M31" s="21"/>
      <c r="N31" s="6">
        <v>180</v>
      </c>
    </row>
    <row r="32" spans="2:14" ht="15.6" thickTop="1" thickBot="1" x14ac:dyDescent="0.35">
      <c r="B32" s="17" t="s">
        <v>52</v>
      </c>
      <c r="C32" s="17" t="s">
        <v>53</v>
      </c>
      <c r="D32" s="28"/>
      <c r="E32" s="28"/>
      <c r="F32" s="17">
        <f t="shared" si="0"/>
        <v>0</v>
      </c>
      <c r="G32" s="12" t="str">
        <f t="shared" si="1"/>
        <v/>
      </c>
      <c r="H32" s="18" t="str">
        <f t="shared" si="4"/>
        <v/>
      </c>
      <c r="I32" s="12" t="str">
        <f t="shared" si="2"/>
        <v/>
      </c>
      <c r="J32" s="19" t="str">
        <f t="shared" si="5"/>
        <v/>
      </c>
      <c r="K32" s="13" t="str">
        <f t="shared" si="3"/>
        <v/>
      </c>
      <c r="L32" s="20" t="str">
        <f t="shared" si="6"/>
        <v/>
      </c>
      <c r="M32" s="21"/>
      <c r="N32" s="6">
        <v>256</v>
      </c>
    </row>
    <row r="33" spans="2:14" ht="15.6" thickTop="1" thickBot="1" x14ac:dyDescent="0.35">
      <c r="B33" s="15" t="s">
        <v>54</v>
      </c>
      <c r="C33" s="15" t="s">
        <v>53</v>
      </c>
      <c r="D33" s="16"/>
      <c r="E33" s="16"/>
      <c r="F33" s="17">
        <f t="shared" si="0"/>
        <v>0</v>
      </c>
      <c r="G33" s="12" t="str">
        <f t="shared" si="1"/>
        <v/>
      </c>
      <c r="H33" s="18" t="str">
        <f t="shared" si="4"/>
        <v/>
      </c>
      <c r="I33" s="12" t="str">
        <f t="shared" si="2"/>
        <v/>
      </c>
      <c r="J33" s="19" t="str">
        <f t="shared" si="5"/>
        <v/>
      </c>
      <c r="K33" s="13" t="str">
        <f t="shared" si="3"/>
        <v/>
      </c>
      <c r="L33" s="20" t="str">
        <f t="shared" si="6"/>
        <v/>
      </c>
      <c r="M33" s="21"/>
      <c r="N33" s="6">
        <v>362</v>
      </c>
    </row>
    <row r="34" spans="2:14" ht="15.6" thickTop="1" thickBot="1" x14ac:dyDescent="0.35">
      <c r="B34" s="15" t="s">
        <v>55</v>
      </c>
      <c r="C34" s="15" t="s">
        <v>56</v>
      </c>
      <c r="D34" s="16"/>
      <c r="E34" s="16"/>
      <c r="F34" s="17">
        <f t="shared" si="0"/>
        <v>0</v>
      </c>
      <c r="G34" s="12" t="str">
        <f t="shared" si="1"/>
        <v/>
      </c>
      <c r="H34" s="18" t="str">
        <f t="shared" si="4"/>
        <v/>
      </c>
      <c r="I34" s="12" t="str">
        <f t="shared" si="2"/>
        <v/>
      </c>
      <c r="J34" s="19" t="str">
        <f t="shared" si="5"/>
        <v/>
      </c>
      <c r="K34" s="13" t="str">
        <f t="shared" si="3"/>
        <v/>
      </c>
      <c r="L34" s="20" t="str">
        <f t="shared" si="6"/>
        <v/>
      </c>
      <c r="M34" s="21"/>
      <c r="N34" s="6">
        <v>512</v>
      </c>
    </row>
    <row r="35" spans="2:14" ht="15.6" thickTop="1" thickBot="1" x14ac:dyDescent="0.35">
      <c r="B35" s="29" t="s">
        <v>57</v>
      </c>
      <c r="C35" s="29" t="s">
        <v>58</v>
      </c>
      <c r="D35" s="30"/>
      <c r="E35" s="30"/>
      <c r="F35" s="31">
        <f t="shared" si="0"/>
        <v>0</v>
      </c>
      <c r="G35" s="12" t="str">
        <f t="shared" si="1"/>
        <v/>
      </c>
      <c r="H35" s="18" t="str">
        <f t="shared" si="4"/>
        <v/>
      </c>
      <c r="I35" s="12" t="str">
        <f t="shared" si="2"/>
        <v/>
      </c>
      <c r="J35" s="19" t="str">
        <f t="shared" si="5"/>
        <v/>
      </c>
      <c r="K35" s="13" t="str">
        <f t="shared" si="3"/>
        <v/>
      </c>
      <c r="L35" s="20" t="str">
        <f t="shared" si="6"/>
        <v/>
      </c>
      <c r="M35" s="21"/>
      <c r="N35" s="6">
        <v>1024</v>
      </c>
    </row>
    <row r="36" spans="2:14" ht="15.6" thickTop="1" thickBot="1" x14ac:dyDescent="0.35">
      <c r="B36" s="32" t="s">
        <v>59</v>
      </c>
      <c r="C36" s="32" t="s">
        <v>60</v>
      </c>
      <c r="D36" s="33"/>
      <c r="E36" s="33"/>
      <c r="F36" s="32">
        <f t="shared" si="0"/>
        <v>0</v>
      </c>
      <c r="G36" s="12" t="str">
        <f t="shared" si="1"/>
        <v/>
      </c>
      <c r="H36" s="18" t="str">
        <f t="shared" si="4"/>
        <v/>
      </c>
      <c r="I36" s="12" t="str">
        <f t="shared" si="2"/>
        <v/>
      </c>
      <c r="J36" s="19" t="str">
        <f t="shared" si="5"/>
        <v/>
      </c>
      <c r="K36" s="13" t="str">
        <f t="shared" si="3"/>
        <v/>
      </c>
      <c r="L36" s="20" t="str">
        <f t="shared" si="6"/>
        <v/>
      </c>
      <c r="M36" s="21"/>
      <c r="N36" s="6">
        <v>2048</v>
      </c>
    </row>
    <row r="37" spans="2:14" ht="15" thickTop="1" x14ac:dyDescent="0.3">
      <c r="B37" s="34"/>
      <c r="C37" s="17" t="s">
        <v>12</v>
      </c>
      <c r="D37" s="17">
        <f>SUM(D13:D36)</f>
        <v>0</v>
      </c>
      <c r="E37" s="17">
        <f>SUM(E13:E36)</f>
        <v>0</v>
      </c>
      <c r="F37" s="17">
        <f>SUM(F13:F36)</f>
        <v>0</v>
      </c>
      <c r="G37" s="12" t="str">
        <f>IFERROR((D37/$D$37)*100,"")</f>
        <v/>
      </c>
      <c r="H37" s="13"/>
      <c r="I37" s="12" t="str">
        <f>IFERROR((E37/$E$37)*100,"")</f>
        <v/>
      </c>
      <c r="J37" s="13"/>
      <c r="K37" s="35">
        <f>SUM(K13:K36)</f>
        <v>0</v>
      </c>
      <c r="L37" s="35"/>
      <c r="M37" s="21"/>
      <c r="N37" s="6">
        <v>2049</v>
      </c>
    </row>
    <row r="38" spans="2:14" x14ac:dyDescent="0.3">
      <c r="M38" s="8"/>
    </row>
  </sheetData>
  <mergeCells count="1">
    <mergeCell ref="B11:L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Substrate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Harris, Morgan, NRCS, Waynesville, NC</cp:lastModifiedBy>
  <dcterms:created xsi:type="dcterms:W3CDTF">2022-11-04T10:16:44Z</dcterms:created>
  <dcterms:modified xsi:type="dcterms:W3CDTF">2023-03-06T21:10:54Z</dcterms:modified>
</cp:coreProperties>
</file>